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GOMEZTE2\AppData\Local\Microsoft\Windows\INetCache\Content.Outlook\7QHNVGQN\"/>
    </mc:Choice>
  </mc:AlternateContent>
  <xr:revisionPtr revIDLastSave="0" documentId="13_ncr:1_{635D346D-D3F3-4251-8161-587F5202072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ESUMEN" sheetId="6" r:id="rId1"/>
    <sheet name="BALANÇ FINAL" sheetId="5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H8" i="6"/>
  <c r="G8" i="6"/>
  <c r="D70" i="5"/>
  <c r="E44" i="5"/>
  <c r="E46" i="5"/>
  <c r="F73" i="5"/>
  <c r="C7" i="5"/>
  <c r="K63" i="5" l="1"/>
  <c r="C49" i="5"/>
  <c r="C26" i="5"/>
  <c r="D45" i="5"/>
  <c r="D42" i="5"/>
  <c r="C27" i="5"/>
  <c r="D36" i="5" l="1"/>
  <c r="C9" i="6"/>
  <c r="B9" i="6"/>
  <c r="B11" i="6" s="1"/>
  <c r="L62" i="5" l="1"/>
  <c r="L66" i="5" s="1"/>
  <c r="J66" i="5"/>
  <c r="L77" i="5"/>
  <c r="D38" i="5"/>
  <c r="C44" i="5"/>
  <c r="C47" i="5"/>
  <c r="D66" i="5"/>
  <c r="C46" i="5"/>
  <c r="D10" i="5" l="1"/>
  <c r="D8" i="5"/>
  <c r="D30" i="5"/>
  <c r="J13" i="5"/>
  <c r="K9" i="5"/>
  <c r="O9" i="5" s="1"/>
  <c r="J73" i="5"/>
  <c r="D35" i="5"/>
  <c r="D33" i="5"/>
  <c r="H37" i="5" l="1"/>
  <c r="D21" i="5" s="1"/>
  <c r="H36" i="5"/>
  <c r="H35" i="5"/>
  <c r="H34" i="5"/>
  <c r="H33" i="5"/>
  <c r="H32" i="5"/>
  <c r="D19" i="5" s="1"/>
  <c r="H31" i="5"/>
  <c r="D18" i="5" l="1"/>
  <c r="D20" i="5"/>
  <c r="H38" i="5"/>
  <c r="D67" i="5" l="1"/>
  <c r="C8" i="6"/>
  <c r="C11" i="6" s="1"/>
  <c r="L9" i="5"/>
  <c r="B13" i="6" l="1"/>
  <c r="J14" i="5"/>
  <c r="J9" i="5"/>
  <c r="J75" i="5" l="1"/>
  <c r="J15" i="5" l="1"/>
  <c r="J16" i="5" s="1"/>
  <c r="C67" i="5" l="1"/>
  <c r="D68" i="5" s="1"/>
  <c r="K74" i="5" l="1"/>
  <c r="K75" i="5" s="1"/>
  <c r="L75" i="5" s="1"/>
  <c r="K64" i="5" l="1"/>
  <c r="K65" i="5" l="1"/>
  <c r="K66" i="5" s="1"/>
  <c r="L69" i="5" l="1"/>
  <c r="D69" i="5" l="1"/>
  <c r="D71" i="5" s="1"/>
  <c r="D72" i="5" s="1"/>
</calcChain>
</file>

<file path=xl/sharedStrings.xml><?xml version="1.0" encoding="utf-8"?>
<sst xmlns="http://schemas.openxmlformats.org/spreadsheetml/2006/main" count="189" uniqueCount="118">
  <si>
    <t>CUOTA FACAP ANUAL</t>
  </si>
  <si>
    <t>TOTAL</t>
  </si>
  <si>
    <t>CUOTA AMPA</t>
  </si>
  <si>
    <t>MATERIAL DIDACTIC</t>
  </si>
  <si>
    <t>TELEFON AMPA</t>
  </si>
  <si>
    <t xml:space="preserve">DESCRIPCIO </t>
  </si>
  <si>
    <t>CUOTA EXTRAESCOLAR</t>
  </si>
  <si>
    <t>CASH</t>
  </si>
  <si>
    <t>BANC</t>
  </si>
  <si>
    <t>DESPESES MATERIAL EXTRAESCOLAR</t>
  </si>
  <si>
    <t>DESPESES MATERIAL OFICINA</t>
  </si>
  <si>
    <t>PROJECTES</t>
  </si>
  <si>
    <t>CONCEPTE</t>
  </si>
  <si>
    <t>DEUTA CUOTA EXTRAESCOLAR (ANY PASSAT)</t>
  </si>
  <si>
    <t>DIFERENCIA</t>
  </si>
  <si>
    <t>BECATS</t>
  </si>
  <si>
    <t>COMPRES SAMARRETES AMPA</t>
  </si>
  <si>
    <t>VENDA SAMARRETES</t>
  </si>
  <si>
    <t>FAMILIAS</t>
  </si>
  <si>
    <t>CASTANYADA</t>
  </si>
  <si>
    <t>COBRAMENT CUOTA SOCI AMPA 20-21</t>
  </si>
  <si>
    <t>FAMILIES/ESCOLA</t>
  </si>
  <si>
    <t>CUOTA  AMPA</t>
  </si>
  <si>
    <t>DESPESES CURS 20-21</t>
  </si>
  <si>
    <t>NEGATIU</t>
  </si>
  <si>
    <t>assumit import positiu balanç anterior</t>
  </si>
  <si>
    <t>REBUT X AJUNTAMNET</t>
  </si>
  <si>
    <t>PROPOSTA</t>
  </si>
  <si>
    <t>DESPESES</t>
  </si>
  <si>
    <t>ASSEGURANÇA EXTRAESCOLAR</t>
  </si>
  <si>
    <t>DONACIO HSJD XOCOLATADA</t>
  </si>
  <si>
    <t>DONACIO HSJD XOCOLATADA (AMPA)</t>
  </si>
  <si>
    <t>ASSESORIA</t>
  </si>
  <si>
    <t>DIFERENCIA SUBVENCIO</t>
  </si>
  <si>
    <t>CUOTA EXTRAESCOLAR 2021-22(10€)</t>
  </si>
  <si>
    <t>AJUNTAMENT 60%</t>
  </si>
  <si>
    <t>AJUNTAMENT 40%</t>
  </si>
  <si>
    <t>REALIDAD</t>
  </si>
  <si>
    <t>FACTURAS EXTRAECOLAR</t>
  </si>
  <si>
    <t>AMPA</t>
  </si>
  <si>
    <t>FACT. CLUB FUTBOL (BECATS</t>
  </si>
  <si>
    <t>FACT.MIR SPORT (BECATS)</t>
  </si>
  <si>
    <t>BALANÇ JULIOL 22</t>
  </si>
  <si>
    <t>BALANÇ CAIXA CASH (JULIOL 22)</t>
  </si>
  <si>
    <t>SUBVENCIO AYUNTAMENT 2022-23</t>
  </si>
  <si>
    <t>SUBVENCIO AYUNTAMENT DIVERSITAT 2022-23</t>
  </si>
  <si>
    <t>SUBVENCIO 22-23</t>
  </si>
  <si>
    <t>PROYECTE PATI ESCOLA</t>
  </si>
  <si>
    <t>PROYECTE ESCOLA DE PARES</t>
  </si>
  <si>
    <t>PROYECTE ACOMIADAMENT FI DE CURS</t>
  </si>
  <si>
    <t>3. PRESSUPOST DEL PROJECTE</t>
  </si>
  <si>
    <t>acomiadament sise (catering, decoracio, etc)</t>
  </si>
  <si>
    <t>xarrada escola de pares</t>
  </si>
  <si>
    <t>regal fi de curs</t>
  </si>
  <si>
    <t>festa fi de curs</t>
  </si>
  <si>
    <t>pintures pati</t>
  </si>
  <si>
    <t>zona lectura pati infantil</t>
  </si>
  <si>
    <t>ordinador i reorganizacio Ampa</t>
  </si>
  <si>
    <t>PROYECTE DIGITALITZACIO I REORGANITZACION AMPA</t>
  </si>
  <si>
    <t>DESPESAS BANC</t>
  </si>
  <si>
    <t>FIESTA HALLOWEN</t>
  </si>
  <si>
    <t>NADAL (SO+XOCOLATES+DECORACIO)</t>
  </si>
  <si>
    <t>SESSIO DEA</t>
  </si>
  <si>
    <t>SESSIO ESCOLA PARES</t>
  </si>
  <si>
    <t>INGRES FAMILIA PISCINA 22-23</t>
  </si>
  <si>
    <t>ABONAMENT CEM ANY 22-23</t>
  </si>
  <si>
    <t>FACTURES MONITOR PISCINA</t>
  </si>
  <si>
    <t>FAMILIAS/SUBVENCIO</t>
  </si>
  <si>
    <t>DEVOLUCIO FAMILIES PISCINE ANY 21-22</t>
  </si>
  <si>
    <t>ABONAMEN AJUNTAMENT //BECATS EXTRAESCOLARS 21-22</t>
  </si>
  <si>
    <t>INGRESS AYUNTAMENT //BECATS EXTRAESCOLARS (60%)</t>
  </si>
  <si>
    <t>FACT. ESCACS (BECATS)</t>
  </si>
  <si>
    <t>facturas RECHAZADas POR AJUNTAMIENTO</t>
  </si>
  <si>
    <t>FACTURAS  JUSTIFICADAS</t>
  </si>
  <si>
    <t>SUBVENCIO 22-23/AMPA</t>
  </si>
  <si>
    <t>DESPESES XOCOLATADA</t>
  </si>
  <si>
    <t>RECOLLIDA DE DINERS XOCALATADA</t>
  </si>
  <si>
    <t xml:space="preserve">DEVOLUCIO EXTRAESCOLAR </t>
  </si>
  <si>
    <t>FAMILIA</t>
  </si>
  <si>
    <t>EQUIPAMENT FUTBOL</t>
  </si>
  <si>
    <t>PROYECTE DIGITALITZACIO AMPA (INVENTARIABLE)</t>
  </si>
  <si>
    <t>PROYECTE ACOMIADAMENT FI DE CURS (NO INVE)</t>
  </si>
  <si>
    <t>PROYECTE ESCOLA DE PARES (NO INVE)</t>
  </si>
  <si>
    <t>PROYECTE PATI ESCOLA (IVEN)</t>
  </si>
  <si>
    <t>FACT KARATE (BECATS)</t>
  </si>
  <si>
    <t>COBRAMENT FACTURES BANC ESCACS</t>
  </si>
  <si>
    <t>COBRAMENT FACTURES TPV ESCACS</t>
  </si>
  <si>
    <t>FACTURES ESCACS</t>
  </si>
  <si>
    <t>FACT TPV</t>
  </si>
  <si>
    <t>COBRAMENT FACTURES TPV KARATE</t>
  </si>
  <si>
    <t xml:space="preserve">FACTURES KARATE </t>
  </si>
  <si>
    <t xml:space="preserve">COBRAMENT FACTURES BANC KARATE </t>
  </si>
  <si>
    <t>NEGATIVO</t>
  </si>
  <si>
    <t>POSITIVO</t>
  </si>
  <si>
    <t>NGRESS AYUNTAMENT// BECATS EXTRAECOLAR 21-22 (30%)</t>
  </si>
  <si>
    <t>FACTURAS</t>
  </si>
  <si>
    <t>FACT. PISCINA (BECATS)</t>
  </si>
  <si>
    <t>PREU ACTIVITATS</t>
  </si>
  <si>
    <t>VENDA SAMARRETES PER TPV</t>
  </si>
  <si>
    <t>ANY 22-23</t>
  </si>
  <si>
    <t>FACTURES MONITOR PISCINA (SUBVENCIONADAS)</t>
  </si>
  <si>
    <t>VARIS</t>
  </si>
  <si>
    <t xml:space="preserve"> CUOTA I FACTURES MATERIAL DIDACTIC 22-23</t>
  </si>
  <si>
    <t>DONACION PINTURA PATI ROCODROMO</t>
  </si>
  <si>
    <t>DEVOLUCION INSCRIPCIO ALUMNE</t>
  </si>
  <si>
    <t>INGRESS BECATS (FAMILIES) X TRANSFERENCIA</t>
  </si>
  <si>
    <t>INGRESS BECATS (FAMILIES) X TPV</t>
  </si>
  <si>
    <t>INGRESS BECATS (FAMILIES) X CASH</t>
  </si>
  <si>
    <t>BAUL PATI</t>
  </si>
  <si>
    <t>DETALL ACOMIADAMENT FLORS TANATORI</t>
  </si>
  <si>
    <t>CUOTES DUPLICADES MATRICULAS</t>
  </si>
  <si>
    <t>DEVOLUCION DUPLICADES MATRICULAS</t>
  </si>
  <si>
    <t xml:space="preserve">DIFERENCIA </t>
  </si>
  <si>
    <t>COBRAMENT CUOTA MATERIAL DIDACTIC</t>
  </si>
  <si>
    <t>COBRAMENT CUOTA SOCI AMPA</t>
  </si>
  <si>
    <t>CUOTA EXTRAESCOLAR (10€)</t>
  </si>
  <si>
    <t xml:space="preserve">SUBVENCIO AYUNTAMENT </t>
  </si>
  <si>
    <t xml:space="preserve">SUBVENCIO AYUNTAMENT DIVERSITAT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</si>
</sst>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Arial"/>
      <family val="2"/>
    </font>
    <font>
      <sz val="18"/>
      <color rgb="FFFF0000"/>
      <name val="Arial"/>
      <family val="2"/>
    </font>
    <font>
      <b/>
      <sz val="18"/>
      <color theme="0"/>
      <name val="Arial"/>
      <family val="2"/>
    </font>
    <font>
      <sz val="18"/>
      <name val="Arial"/>
      <family val="2"/>
    </font>
    <font>
      <b/>
      <sz val="18"/>
      <color theme="4"/>
      <name val="Arial"/>
      <family val="2"/>
    </font>
    <font>
      <b/>
      <sz val="20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omic Sans MS"/>
      <family val="4"/>
    </font>
    <font>
      <b/>
      <sz val="20"/>
      <color theme="1"/>
      <name val="Arial"/>
      <family val="2"/>
    </font>
    <font>
      <sz val="18"/>
      <color theme="3"/>
      <name val="Arial"/>
      <family val="2"/>
    </font>
    <font>
      <b/>
      <sz val="18"/>
      <color theme="3"/>
      <name val="Arial"/>
      <family val="2"/>
    </font>
    <font>
      <sz val="20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wrapText="1"/>
    </xf>
    <xf numFmtId="44" fontId="6" fillId="0" borderId="0" xfId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4" fontId="9" fillId="0" borderId="0" xfId="4" applyFont="1" applyFill="1" applyBorder="1" applyAlignment="1">
      <alignment horizontal="right" wrapText="1"/>
    </xf>
    <xf numFmtId="0" fontId="4" fillId="0" borderId="0" xfId="0" applyFont="1"/>
    <xf numFmtId="0" fontId="8" fillId="2" borderId="5" xfId="0" applyFont="1" applyFill="1" applyBorder="1"/>
    <xf numFmtId="14" fontId="4" fillId="0" borderId="0" xfId="0" applyNumberFormat="1" applyFont="1"/>
    <xf numFmtId="44" fontId="4" fillId="0" borderId="0" xfId="0" applyNumberFormat="1" applyFont="1"/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 wrapText="1"/>
    </xf>
    <xf numFmtId="0" fontId="6" fillId="0" borderId="9" xfId="0" applyFont="1" applyBorder="1" applyAlignment="1">
      <alignment horizontal="center"/>
    </xf>
    <xf numFmtId="44" fontId="6" fillId="0" borderId="10" xfId="1" applyFont="1" applyBorder="1"/>
    <xf numFmtId="9" fontId="4" fillId="0" borderId="0" xfId="5" applyFont="1"/>
    <xf numFmtId="0" fontId="6" fillId="0" borderId="11" xfId="0" applyFont="1" applyBorder="1" applyAlignment="1">
      <alignment horizontal="center"/>
    </xf>
    <xf numFmtId="44" fontId="6" fillId="0" borderId="8" xfId="1" applyFont="1" applyBorder="1"/>
    <xf numFmtId="0" fontId="6" fillId="0" borderId="12" xfId="0" applyFont="1" applyBorder="1" applyAlignment="1">
      <alignment horizontal="center"/>
    </xf>
    <xf numFmtId="44" fontId="6" fillId="0" borderId="13" xfId="1" applyFont="1" applyBorder="1"/>
    <xf numFmtId="0" fontId="6" fillId="0" borderId="0" xfId="0" applyFont="1"/>
    <xf numFmtId="44" fontId="6" fillId="0" borderId="0" xfId="1" applyFont="1" applyBorder="1"/>
    <xf numFmtId="44" fontId="8" fillId="7" borderId="6" xfId="1" applyFont="1" applyFill="1" applyBorder="1"/>
    <xf numFmtId="0" fontId="4" fillId="0" borderId="4" xfId="0" applyFont="1" applyBorder="1"/>
    <xf numFmtId="44" fontId="7" fillId="0" borderId="0" xfId="1" applyFont="1" applyFill="1" applyBorder="1" applyAlignment="1">
      <alignment wrapText="1"/>
    </xf>
    <xf numFmtId="0" fontId="8" fillId="2" borderId="6" xfId="0" applyFont="1" applyFill="1" applyBorder="1"/>
    <xf numFmtId="0" fontId="8" fillId="4" borderId="5" xfId="0" applyFont="1" applyFill="1" applyBorder="1"/>
    <xf numFmtId="0" fontId="4" fillId="4" borderId="6" xfId="0" applyFont="1" applyFill="1" applyBorder="1"/>
    <xf numFmtId="44" fontId="4" fillId="0" borderId="0" xfId="1" applyFont="1"/>
    <xf numFmtId="44" fontId="4" fillId="3" borderId="0" xfId="1" applyFont="1" applyFill="1"/>
    <xf numFmtId="44" fontId="10" fillId="0" borderId="4" xfId="1" applyFont="1" applyFill="1" applyBorder="1"/>
    <xf numFmtId="0" fontId="4" fillId="9" borderId="0" xfId="0" applyFont="1" applyFill="1"/>
    <xf numFmtId="0" fontId="4" fillId="9" borderId="4" xfId="0" applyFont="1" applyFill="1" applyBorder="1"/>
    <xf numFmtId="0" fontId="4" fillId="10" borderId="4" xfId="0" applyFont="1" applyFill="1" applyBorder="1"/>
    <xf numFmtId="44" fontId="10" fillId="10" borderId="4" xfId="1" applyFont="1" applyFill="1" applyBorder="1"/>
    <xf numFmtId="0" fontId="4" fillId="10" borderId="0" xfId="0" applyFont="1" applyFill="1"/>
    <xf numFmtId="0" fontId="4" fillId="11" borderId="0" xfId="0" applyFont="1" applyFill="1"/>
    <xf numFmtId="44" fontId="10" fillId="11" borderId="4" xfId="1" applyFont="1" applyFill="1" applyBorder="1"/>
    <xf numFmtId="0" fontId="4" fillId="11" borderId="4" xfId="0" applyFont="1" applyFill="1" applyBorder="1"/>
    <xf numFmtId="0" fontId="4" fillId="12" borderId="0" xfId="0" applyFont="1" applyFill="1"/>
    <xf numFmtId="44" fontId="10" fillId="12" borderId="4" xfId="1" applyFont="1" applyFill="1" applyBorder="1"/>
    <xf numFmtId="0" fontId="4" fillId="12" borderId="4" xfId="0" applyFont="1" applyFill="1" applyBorder="1"/>
    <xf numFmtId="0" fontId="4" fillId="8" borderId="4" xfId="0" applyFont="1" applyFill="1" applyBorder="1"/>
    <xf numFmtId="44" fontId="10" fillId="8" borderId="4" xfId="1" applyFont="1" applyFill="1" applyBorder="1"/>
    <xf numFmtId="0" fontId="4" fillId="13" borderId="0" xfId="0" applyFont="1" applyFill="1"/>
    <xf numFmtId="0" fontId="4" fillId="13" borderId="4" xfId="0" applyFont="1" applyFill="1" applyBorder="1"/>
    <xf numFmtId="44" fontId="10" fillId="9" borderId="4" xfId="0" applyNumberFormat="1" applyFont="1" applyFill="1" applyBorder="1"/>
    <xf numFmtId="44" fontId="10" fillId="10" borderId="4" xfId="0" applyNumberFormat="1" applyFont="1" applyFill="1" applyBorder="1"/>
    <xf numFmtId="44" fontId="10" fillId="13" borderId="4" xfId="0" applyNumberFormat="1" applyFont="1" applyFill="1" applyBorder="1"/>
    <xf numFmtId="44" fontId="10" fillId="11" borderId="4" xfId="0" applyNumberFormat="1" applyFont="1" applyFill="1" applyBorder="1"/>
    <xf numFmtId="0" fontId="4" fillId="14" borderId="0" xfId="0" applyFont="1" applyFill="1"/>
    <xf numFmtId="0" fontId="4" fillId="14" borderId="4" xfId="0" applyFont="1" applyFill="1" applyBorder="1"/>
    <xf numFmtId="44" fontId="10" fillId="14" borderId="4" xfId="1" applyFont="1" applyFill="1" applyBorder="1"/>
    <xf numFmtId="44" fontId="10" fillId="8" borderId="4" xfId="0" applyNumberFormat="1" applyFont="1" applyFill="1" applyBorder="1"/>
    <xf numFmtId="0" fontId="12" fillId="10" borderId="0" xfId="0" applyFont="1" applyFill="1"/>
    <xf numFmtId="0" fontId="12" fillId="12" borderId="0" xfId="0" applyFont="1" applyFill="1"/>
    <xf numFmtId="0" fontId="13" fillId="0" borderId="0" xfId="0" applyFont="1"/>
    <xf numFmtId="0" fontId="13" fillId="0" borderId="4" xfId="0" applyFont="1" applyBorder="1"/>
    <xf numFmtId="44" fontId="12" fillId="8" borderId="4" xfId="1" applyFont="1" applyFill="1" applyBorder="1"/>
    <xf numFmtId="0" fontId="13" fillId="0" borderId="14" xfId="0" applyFont="1" applyBorder="1"/>
    <xf numFmtId="0" fontId="12" fillId="9" borderId="4" xfId="0" applyFont="1" applyFill="1" applyBorder="1"/>
    <xf numFmtId="0" fontId="12" fillId="10" borderId="4" xfId="0" applyFont="1" applyFill="1" applyBorder="1"/>
    <xf numFmtId="0" fontId="12" fillId="8" borderId="4" xfId="0" applyFont="1" applyFill="1" applyBorder="1"/>
    <xf numFmtId="0" fontId="12" fillId="11" borderId="4" xfId="0" applyFont="1" applyFill="1" applyBorder="1"/>
    <xf numFmtId="44" fontId="12" fillId="12" borderId="4" xfId="1" applyFont="1" applyFill="1" applyBorder="1"/>
    <xf numFmtId="44" fontId="12" fillId="13" borderId="4" xfId="1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2" fillId="9" borderId="0" xfId="0" applyFont="1" applyFill="1"/>
    <xf numFmtId="0" fontId="5" fillId="8" borderId="0" xfId="0" applyFont="1" applyFill="1" applyAlignment="1">
      <alignment horizontal="center"/>
    </xf>
    <xf numFmtId="44" fontId="11" fillId="2" borderId="1" xfId="1" applyFont="1" applyFill="1" applyBorder="1"/>
    <xf numFmtId="44" fontId="11" fillId="4" borderId="7" xfId="1" applyFont="1" applyFill="1" applyBorder="1"/>
    <xf numFmtId="44" fontId="15" fillId="15" borderId="0" xfId="1" applyFont="1" applyFill="1"/>
    <xf numFmtId="0" fontId="5" fillId="8" borderId="0" xfId="0" applyFont="1" applyFill="1" applyAlignment="1">
      <alignment horizontal="center" wrapText="1"/>
    </xf>
    <xf numFmtId="0" fontId="4" fillId="0" borderId="15" xfId="0" applyFont="1" applyBorder="1"/>
    <xf numFmtId="44" fontId="4" fillId="0" borderId="16" xfId="0" applyNumberFormat="1" applyFont="1" applyBorder="1"/>
    <xf numFmtId="0" fontId="4" fillId="0" borderId="2" xfId="0" applyFont="1" applyBorder="1"/>
    <xf numFmtId="44" fontId="4" fillId="0" borderId="17" xfId="0" applyNumberFormat="1" applyFont="1" applyBorder="1"/>
    <xf numFmtId="0" fontId="10" fillId="0" borderId="3" xfId="0" applyFont="1" applyBorder="1"/>
    <xf numFmtId="44" fontId="10" fillId="0" borderId="18" xfId="0" applyNumberFormat="1" applyFont="1" applyBorder="1"/>
    <xf numFmtId="44" fontId="4" fillId="9" borderId="0" xfId="0" applyNumberFormat="1" applyFont="1" applyFill="1"/>
    <xf numFmtId="0" fontId="4" fillId="0" borderId="19" xfId="0" applyFont="1" applyBorder="1"/>
    <xf numFmtId="0" fontId="6" fillId="0" borderId="2" xfId="0" applyFont="1" applyBorder="1" applyAlignment="1">
      <alignment wrapText="1"/>
    </xf>
    <xf numFmtId="0" fontId="4" fillId="0" borderId="17" xfId="0" applyFont="1" applyBorder="1"/>
    <xf numFmtId="0" fontId="4" fillId="9" borderId="3" xfId="0" applyFont="1" applyFill="1" applyBorder="1"/>
    <xf numFmtId="44" fontId="4" fillId="9" borderId="20" xfId="0" applyNumberFormat="1" applyFont="1" applyFill="1" applyBorder="1"/>
    <xf numFmtId="44" fontId="4" fillId="9" borderId="18" xfId="0" applyNumberFormat="1" applyFont="1" applyFill="1" applyBorder="1"/>
    <xf numFmtId="0" fontId="4" fillId="0" borderId="16" xfId="0" applyFont="1" applyBorder="1"/>
    <xf numFmtId="0" fontId="4" fillId="9" borderId="2" xfId="0" applyFont="1" applyFill="1" applyBorder="1"/>
    <xf numFmtId="44" fontId="4" fillId="9" borderId="17" xfId="0" applyNumberFormat="1" applyFont="1" applyFill="1" applyBorder="1"/>
    <xf numFmtId="0" fontId="4" fillId="16" borderId="2" xfId="0" applyFont="1" applyFill="1" applyBorder="1"/>
    <xf numFmtId="0" fontId="4" fillId="16" borderId="0" xfId="0" applyFont="1" applyFill="1"/>
    <xf numFmtId="44" fontId="4" fillId="16" borderId="17" xfId="0" applyNumberFormat="1" applyFont="1" applyFill="1" applyBorder="1"/>
    <xf numFmtId="0" fontId="4" fillId="0" borderId="3" xfId="0" applyFont="1" applyBorder="1"/>
    <xf numFmtId="0" fontId="4" fillId="0" borderId="20" xfId="0" applyFont="1" applyBorder="1"/>
    <xf numFmtId="44" fontId="4" fillId="0" borderId="18" xfId="0" applyNumberFormat="1" applyFont="1" applyBorder="1"/>
    <xf numFmtId="0" fontId="3" fillId="0" borderId="0" xfId="0" applyFont="1" applyAlignment="1">
      <alignment horizontal="center" wrapText="1"/>
    </xf>
    <xf numFmtId="0" fontId="10" fillId="0" borderId="0" xfId="0" applyFont="1"/>
    <xf numFmtId="44" fontId="10" fillId="0" borderId="0" xfId="0" applyNumberFormat="1" applyFont="1"/>
    <xf numFmtId="0" fontId="16" fillId="3" borderId="0" xfId="0" applyFont="1" applyFill="1"/>
    <xf numFmtId="44" fontId="0" fillId="0" borderId="0" xfId="0" applyNumberFormat="1"/>
    <xf numFmtId="0" fontId="4" fillId="3" borderId="0" xfId="0" applyFont="1" applyFill="1"/>
    <xf numFmtId="44" fontId="10" fillId="12" borderId="0" xfId="1" applyFont="1" applyFill="1" applyBorder="1"/>
    <xf numFmtId="0" fontId="4" fillId="17" borderId="0" xfId="0" applyFont="1" applyFill="1"/>
    <xf numFmtId="0" fontId="4" fillId="17" borderId="4" xfId="0" applyFont="1" applyFill="1" applyBorder="1"/>
    <xf numFmtId="44" fontId="12" fillId="17" borderId="4" xfId="0" applyNumberFormat="1" applyFont="1" applyFill="1" applyBorder="1"/>
    <xf numFmtId="44" fontId="10" fillId="17" borderId="4" xfId="1" applyFont="1" applyFill="1" applyBorder="1"/>
    <xf numFmtId="0" fontId="12" fillId="17" borderId="4" xfId="0" applyFont="1" applyFill="1" applyBorder="1"/>
    <xf numFmtId="0" fontId="17" fillId="0" borderId="0" xfId="2" applyFont="1"/>
    <xf numFmtId="0" fontId="5" fillId="18" borderId="0" xfId="0" applyFont="1" applyFill="1" applyAlignment="1">
      <alignment horizontal="center" wrapText="1"/>
    </xf>
    <xf numFmtId="0" fontId="5" fillId="19" borderId="0" xfId="0" applyFont="1" applyFill="1" applyAlignment="1">
      <alignment horizontal="center" wrapText="1"/>
    </xf>
    <xf numFmtId="0" fontId="8" fillId="5" borderId="0" xfId="0" applyFont="1" applyFill="1" applyAlignment="1">
      <alignment horizontal="right"/>
    </xf>
    <xf numFmtId="44" fontId="8" fillId="7" borderId="0" xfId="1" applyFont="1" applyFill="1" applyBorder="1"/>
    <xf numFmtId="0" fontId="18" fillId="3" borderId="0" xfId="0" applyFont="1" applyFill="1"/>
    <xf numFmtId="0" fontId="4" fillId="3" borderId="4" xfId="0" applyFont="1" applyFill="1" applyBorder="1"/>
    <xf numFmtId="0" fontId="12" fillId="3" borderId="4" xfId="0" applyFont="1" applyFill="1" applyBorder="1"/>
    <xf numFmtId="44" fontId="10" fillId="3" borderId="4" xfId="1" applyFont="1" applyFill="1" applyBorder="1"/>
    <xf numFmtId="44" fontId="10" fillId="0" borderId="4" xfId="0" applyNumberFormat="1" applyFont="1" applyBorder="1"/>
    <xf numFmtId="0" fontId="4" fillId="20" borderId="0" xfId="0" applyFont="1" applyFill="1"/>
    <xf numFmtId="0" fontId="4" fillId="20" borderId="4" xfId="0" applyFont="1" applyFill="1" applyBorder="1"/>
    <xf numFmtId="44" fontId="12" fillId="20" borderId="4" xfId="1" applyFont="1" applyFill="1" applyBorder="1"/>
    <xf numFmtId="44" fontId="10" fillId="20" borderId="4" xfId="0" applyNumberFormat="1" applyFont="1" applyFill="1" applyBorder="1"/>
    <xf numFmtId="44" fontId="12" fillId="20" borderId="4" xfId="0" applyNumberFormat="1" applyFont="1" applyFill="1" applyBorder="1"/>
    <xf numFmtId="44" fontId="10" fillId="20" borderId="4" xfId="1" applyFont="1" applyFill="1" applyBorder="1"/>
    <xf numFmtId="0" fontId="10" fillId="11" borderId="0" xfId="0" applyFont="1" applyFill="1"/>
    <xf numFmtId="0" fontId="10" fillId="12" borderId="0" xfId="0" applyFont="1" applyFill="1"/>
    <xf numFmtId="0" fontId="10" fillId="3" borderId="0" xfId="0" applyFont="1" applyFill="1"/>
    <xf numFmtId="44" fontId="19" fillId="8" borderId="4" xfId="1" applyFont="1" applyFill="1" applyBorder="1"/>
    <xf numFmtId="44" fontId="19" fillId="3" borderId="4" xfId="1" applyFont="1" applyFill="1" applyBorder="1"/>
    <xf numFmtId="44" fontId="19" fillId="14" borderId="4" xfId="1" applyFont="1" applyFill="1" applyBorder="1"/>
    <xf numFmtId="0" fontId="19" fillId="14" borderId="4" xfId="0" applyFont="1" applyFill="1" applyBorder="1"/>
    <xf numFmtId="44" fontId="19" fillId="10" borderId="4" xfId="1" applyFont="1" applyFill="1" applyBorder="1"/>
    <xf numFmtId="0" fontId="19" fillId="10" borderId="4" xfId="0" applyFont="1" applyFill="1" applyBorder="1"/>
    <xf numFmtId="44" fontId="20" fillId="0" borderId="14" xfId="1" applyFont="1" applyFill="1" applyBorder="1"/>
    <xf numFmtId="44" fontId="20" fillId="0" borderId="4" xfId="1" applyFont="1" applyFill="1" applyBorder="1"/>
    <xf numFmtId="44" fontId="19" fillId="9" borderId="4" xfId="1" applyFont="1" applyFill="1" applyBorder="1"/>
    <xf numFmtId="44" fontId="19" fillId="12" borderId="4" xfId="1" applyFont="1" applyFill="1" applyBorder="1"/>
    <xf numFmtId="44" fontId="19" fillId="17" borderId="4" xfId="0" applyNumberFormat="1" applyFont="1" applyFill="1" applyBorder="1"/>
    <xf numFmtId="44" fontId="19" fillId="17" borderId="4" xfId="1" applyFont="1" applyFill="1" applyBorder="1"/>
    <xf numFmtId="44" fontId="19" fillId="20" borderId="4" xfId="1" applyFont="1" applyFill="1" applyBorder="1"/>
    <xf numFmtId="44" fontId="19" fillId="13" borderId="4" xfId="1" applyFont="1" applyFill="1" applyBorder="1"/>
    <xf numFmtId="0" fontId="0" fillId="0" borderId="15" xfId="0" applyBorder="1"/>
    <xf numFmtId="44" fontId="0" fillId="0" borderId="19" xfId="0" applyNumberFormat="1" applyBorder="1"/>
    <xf numFmtId="44" fontId="0" fillId="0" borderId="16" xfId="0" applyNumberFormat="1" applyBorder="1"/>
    <xf numFmtId="0" fontId="0" fillId="0" borderId="2" xfId="0" applyBorder="1"/>
    <xf numFmtId="44" fontId="0" fillId="0" borderId="17" xfId="0" applyNumberFormat="1" applyBorder="1"/>
    <xf numFmtId="44" fontId="13" fillId="0" borderId="17" xfId="1" applyFont="1" applyFill="1" applyBorder="1"/>
    <xf numFmtId="0" fontId="0" fillId="0" borderId="17" xfId="0" applyBorder="1"/>
    <xf numFmtId="0" fontId="14" fillId="22" borderId="15" xfId="0" applyFont="1" applyFill="1" applyBorder="1" applyAlignment="1">
      <alignment horizontal="center"/>
    </xf>
    <xf numFmtId="0" fontId="14" fillId="22" borderId="19" xfId="0" applyFont="1" applyFill="1" applyBorder="1" applyAlignment="1">
      <alignment horizontal="center"/>
    </xf>
    <xf numFmtId="0" fontId="14" fillId="22" borderId="16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44" fontId="14" fillId="22" borderId="20" xfId="1" applyFont="1" applyFill="1" applyBorder="1" applyAlignment="1">
      <alignment horizontal="center"/>
    </xf>
    <xf numFmtId="44" fontId="14" fillId="22" borderId="18" xfId="1" applyFont="1" applyFill="1" applyBorder="1" applyAlignment="1">
      <alignment horizontal="center"/>
    </xf>
    <xf numFmtId="0" fontId="14" fillId="22" borderId="3" xfId="0" applyFont="1" applyFill="1" applyBorder="1" applyAlignment="1">
      <alignment horizontal="left"/>
    </xf>
    <xf numFmtId="0" fontId="14" fillId="22" borderId="14" xfId="0" applyFont="1" applyFill="1" applyBorder="1" applyAlignment="1">
      <alignment horizontal="center"/>
    </xf>
    <xf numFmtId="0" fontId="8" fillId="21" borderId="5" xfId="0" applyFont="1" applyFill="1" applyBorder="1"/>
    <xf numFmtId="44" fontId="14" fillId="21" borderId="6" xfId="1" applyFont="1" applyFill="1" applyBorder="1"/>
    <xf numFmtId="44" fontId="8" fillId="21" borderId="7" xfId="1" applyFont="1" applyFill="1" applyBorder="1"/>
    <xf numFmtId="0" fontId="0" fillId="0" borderId="19" xfId="0" applyBorder="1"/>
    <xf numFmtId="0" fontId="0" fillId="0" borderId="0" xfId="0" applyBorder="1"/>
    <xf numFmtId="0" fontId="14" fillId="22" borderId="20" xfId="0" applyFont="1" applyFill="1" applyBorder="1" applyAlignment="1">
      <alignment horizontal="left"/>
    </xf>
    <xf numFmtId="0" fontId="8" fillId="21" borderId="6" xfId="0" applyFont="1" applyFill="1" applyBorder="1"/>
    <xf numFmtId="44" fontId="0" fillId="0" borderId="0" xfId="0" applyNumberFormat="1" applyBorder="1"/>
    <xf numFmtId="0" fontId="0" fillId="0" borderId="3" xfId="0" applyBorder="1"/>
    <xf numFmtId="0" fontId="0" fillId="0" borderId="20" xfId="0" applyBorder="1"/>
    <xf numFmtId="44" fontId="0" fillId="0" borderId="20" xfId="0" applyNumberFormat="1" applyBorder="1"/>
    <xf numFmtId="44" fontId="0" fillId="0" borderId="18" xfId="0" applyNumberFormat="1" applyBorder="1"/>
    <xf numFmtId="0" fontId="21" fillId="21" borderId="0" xfId="0" applyFont="1" applyFill="1" applyAlignment="1">
      <alignment horizontal="center"/>
    </xf>
    <xf numFmtId="0" fontId="21" fillId="21" borderId="20" xfId="0" applyFont="1" applyFill="1" applyBorder="1" applyAlignment="1">
      <alignment horizontal="center"/>
    </xf>
    <xf numFmtId="0" fontId="14" fillId="22" borderId="5" xfId="0" applyFont="1" applyFill="1" applyBorder="1" applyAlignment="1">
      <alignment horizontal="center" wrapText="1"/>
    </xf>
    <xf numFmtId="0" fontId="14" fillId="22" borderId="7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right"/>
    </xf>
    <xf numFmtId="0" fontId="8" fillId="5" borderId="6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 wrapText="1"/>
    </xf>
  </cellXfs>
  <cellStyles count="6">
    <cellStyle name="Currency" xfId="1" builtinId="4"/>
    <cellStyle name="Currency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SUBVENCION/CURSO%2022-23/DOCUMENTOS%20AJUNTAMENTO%20JULIO%2022%20A%20JULIO%2023/RESUMEN%20JUSTIFICACION%20ECONOM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NTABILIDAD/2022-23/BALANCE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ECONOMICA"/>
    </sheetNames>
    <sheetDataSet>
      <sheetData sheetId="0">
        <row r="18">
          <cell r="H18">
            <v>617.89</v>
          </cell>
        </row>
        <row r="19">
          <cell r="H19">
            <v>204.9</v>
          </cell>
        </row>
        <row r="20">
          <cell r="H20">
            <v>117.37</v>
          </cell>
        </row>
        <row r="21">
          <cell r="H21">
            <v>15</v>
          </cell>
        </row>
        <row r="22">
          <cell r="H22">
            <v>39.979999999999997</v>
          </cell>
        </row>
        <row r="23">
          <cell r="H23">
            <v>17.7</v>
          </cell>
        </row>
        <row r="24">
          <cell r="H24">
            <v>134.38</v>
          </cell>
        </row>
        <row r="25">
          <cell r="H25">
            <v>943.8</v>
          </cell>
        </row>
        <row r="26">
          <cell r="H26">
            <v>60</v>
          </cell>
        </row>
        <row r="27">
          <cell r="H27">
            <v>248.59</v>
          </cell>
        </row>
        <row r="28">
          <cell r="H28">
            <v>200</v>
          </cell>
        </row>
        <row r="29">
          <cell r="H29">
            <v>232.42</v>
          </cell>
        </row>
        <row r="30">
          <cell r="H30">
            <v>61.75</v>
          </cell>
        </row>
        <row r="31">
          <cell r="H31">
            <v>1650</v>
          </cell>
        </row>
        <row r="32">
          <cell r="H32">
            <v>115</v>
          </cell>
        </row>
        <row r="33">
          <cell r="H33">
            <v>400</v>
          </cell>
        </row>
        <row r="34">
          <cell r="H34">
            <v>35.44</v>
          </cell>
        </row>
        <row r="35">
          <cell r="H35">
            <v>290</v>
          </cell>
        </row>
        <row r="36">
          <cell r="H36">
            <v>266.2</v>
          </cell>
        </row>
        <row r="37">
          <cell r="H37">
            <v>53.05</v>
          </cell>
        </row>
        <row r="38">
          <cell r="H38">
            <v>490.05</v>
          </cell>
        </row>
        <row r="39">
          <cell r="H39">
            <v>50.78</v>
          </cell>
        </row>
        <row r="40">
          <cell r="H40">
            <v>231.9</v>
          </cell>
        </row>
        <row r="41">
          <cell r="H4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19-20"/>
      <sheetName val="PRESUPUESTO"/>
      <sheetName val="BANCO 2022-23"/>
      <sheetName val="BALANCE 22-23"/>
      <sheetName val="PREVISION HASTA FIN"/>
      <sheetName val="BECADOS"/>
      <sheetName val="Hoja1"/>
      <sheetName val="SUVENCION"/>
      <sheetName val="CN (V2)"/>
      <sheetName val="PISCINA"/>
      <sheetName val="telefono"/>
      <sheetName val="CAJA NEGRA"/>
      <sheetName val="caja 220720"/>
    </sheetNames>
    <sheetDataSet>
      <sheetData sheetId="0"/>
      <sheetData sheetId="1"/>
      <sheetData sheetId="2"/>
      <sheetData sheetId="3">
        <row r="102">
          <cell r="D102">
            <v>4942.1900000000069</v>
          </cell>
        </row>
      </sheetData>
      <sheetData sheetId="4"/>
      <sheetData sheetId="5">
        <row r="23">
          <cell r="S23">
            <v>1594.5000000000005</v>
          </cell>
          <cell r="T23">
            <v>1063.0000000000005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10A0-2FC7-4E0D-8C99-03128E0B49BA}">
  <dimension ref="A1:H17"/>
  <sheetViews>
    <sheetView showGridLines="0" topLeftCell="A7" zoomScale="80" zoomScaleNormal="80" workbookViewId="0">
      <selection activeCell="F12" sqref="F12"/>
    </sheetView>
  </sheetViews>
  <sheetFormatPr defaultColWidth="11.42578125" defaultRowHeight="12.75" x14ac:dyDescent="0.2"/>
  <cols>
    <col min="1" max="1" width="55.5703125" bestFit="1" customWidth="1"/>
    <col min="2" max="2" width="20.7109375" bestFit="1" customWidth="1"/>
    <col min="3" max="3" width="22.85546875" customWidth="1"/>
    <col min="5" max="5" width="39" customWidth="1"/>
    <col min="6" max="6" width="55.140625" customWidth="1"/>
    <col min="7" max="7" width="23.7109375" customWidth="1"/>
    <col min="8" max="8" width="19.7109375" customWidth="1"/>
  </cols>
  <sheetData>
    <row r="1" spans="1:8" ht="26.25" thickBot="1" x14ac:dyDescent="0.4">
      <c r="A1" s="168" t="s">
        <v>99</v>
      </c>
      <c r="B1" s="168"/>
      <c r="C1" s="168"/>
      <c r="E1" s="169" t="s">
        <v>46</v>
      </c>
      <c r="F1" s="169"/>
      <c r="G1" s="169"/>
      <c r="H1" s="169"/>
    </row>
    <row r="2" spans="1:8" ht="27" thickBot="1" x14ac:dyDescent="0.45">
      <c r="A2" s="148" t="s">
        <v>12</v>
      </c>
      <c r="B2" s="149" t="s">
        <v>93</v>
      </c>
      <c r="C2" s="150" t="s">
        <v>92</v>
      </c>
      <c r="E2" s="170" t="s">
        <v>12</v>
      </c>
      <c r="F2" s="171"/>
      <c r="G2" s="155" t="s">
        <v>93</v>
      </c>
      <c r="H2" s="155" t="s">
        <v>92</v>
      </c>
    </row>
    <row r="3" spans="1:8" ht="23.25" x14ac:dyDescent="0.35">
      <c r="A3" s="144" t="s">
        <v>42</v>
      </c>
      <c r="B3" s="100">
        <v>5765.01</v>
      </c>
      <c r="C3" s="146"/>
      <c r="E3" s="141" t="s">
        <v>44</v>
      </c>
      <c r="F3" s="159"/>
      <c r="G3" s="142">
        <v>5562.35</v>
      </c>
      <c r="H3" s="143"/>
    </row>
    <row r="4" spans="1:8" ht="23.25" x14ac:dyDescent="0.35">
      <c r="A4" s="144" t="s">
        <v>43</v>
      </c>
      <c r="B4" s="100">
        <v>346.82</v>
      </c>
      <c r="C4" s="146"/>
      <c r="E4" s="144"/>
      <c r="F4" s="160" t="s">
        <v>47</v>
      </c>
      <c r="G4" s="163"/>
      <c r="H4" s="145">
        <v>829.12999999999988</v>
      </c>
    </row>
    <row r="5" spans="1:8" ht="18.600000000000001" customHeight="1" x14ac:dyDescent="0.2">
      <c r="A5" s="144" t="s">
        <v>113</v>
      </c>
      <c r="B5" s="100">
        <v>12760</v>
      </c>
      <c r="C5" s="145">
        <v>12377.32</v>
      </c>
      <c r="E5" s="144"/>
      <c r="F5" s="160" t="s">
        <v>48</v>
      </c>
      <c r="G5" s="163"/>
      <c r="H5" s="145">
        <v>400</v>
      </c>
    </row>
    <row r="6" spans="1:8" ht="19.5" customHeight="1" x14ac:dyDescent="0.2">
      <c r="A6" s="144" t="s">
        <v>114</v>
      </c>
      <c r="B6" s="100">
        <v>3300</v>
      </c>
      <c r="C6" s="147"/>
      <c r="E6" s="144"/>
      <c r="F6" s="160" t="s">
        <v>49</v>
      </c>
      <c r="G6" s="163"/>
      <c r="H6" s="145">
        <v>4099.08</v>
      </c>
    </row>
    <row r="7" spans="1:8" ht="20.45" customHeight="1" thickBot="1" x14ac:dyDescent="0.25">
      <c r="A7" s="144" t="s">
        <v>115</v>
      </c>
      <c r="B7" s="100">
        <v>440</v>
      </c>
      <c r="C7" s="147"/>
      <c r="E7" s="164"/>
      <c r="F7" s="165" t="s">
        <v>58</v>
      </c>
      <c r="G7" s="166"/>
      <c r="H7" s="167">
        <v>1180.99</v>
      </c>
    </row>
    <row r="8" spans="1:8" ht="32.450000000000003" customHeight="1" thickBot="1" x14ac:dyDescent="0.45">
      <c r="A8" s="144" t="s">
        <v>116</v>
      </c>
      <c r="B8" s="100">
        <v>5562.35</v>
      </c>
      <c r="C8" s="145">
        <f>'BALANÇ FINAL'!D18+'BALANÇ FINAL'!D19+'BALANÇ FINAL'!D20+'BALANÇ FINAL'!D21</f>
        <v>6509.2</v>
      </c>
      <c r="E8" s="154" t="s">
        <v>1</v>
      </c>
      <c r="F8" s="161"/>
      <c r="G8" s="152">
        <f>SUM(G3:G7)</f>
        <v>5562.35</v>
      </c>
      <c r="H8" s="153">
        <f>SUM(H4:H7)</f>
        <v>6509.2</v>
      </c>
    </row>
    <row r="9" spans="1:8" ht="27" customHeight="1" thickBot="1" x14ac:dyDescent="0.25">
      <c r="A9" s="144" t="s">
        <v>117</v>
      </c>
      <c r="B9" s="100">
        <f>'BALANÇ FINAL'!C54</f>
        <v>1860.85</v>
      </c>
      <c r="C9" s="145">
        <f>'BALANÇ FINAL'!D53</f>
        <v>882</v>
      </c>
    </row>
    <row r="10" spans="1:8" ht="30" customHeight="1" thickBot="1" x14ac:dyDescent="0.4">
      <c r="A10" s="144" t="s">
        <v>101</v>
      </c>
      <c r="B10" s="100">
        <v>10320</v>
      </c>
      <c r="C10" s="145">
        <v>15489.23</v>
      </c>
      <c r="E10" s="156" t="s">
        <v>112</v>
      </c>
      <c r="F10" s="162"/>
      <c r="G10" s="158">
        <f>G8-H8</f>
        <v>-946.84999999999945</v>
      </c>
      <c r="H10" s="158"/>
    </row>
    <row r="11" spans="1:8" ht="27" thickBot="1" x14ac:dyDescent="0.45">
      <c r="A11" s="151" t="s">
        <v>1</v>
      </c>
      <c r="B11" s="152">
        <f>SUM(B3:B10)</f>
        <v>40355.03</v>
      </c>
      <c r="C11" s="153">
        <f>SUM(C4:C10)</f>
        <v>35257.75</v>
      </c>
    </row>
    <row r="12" spans="1:8" ht="13.5" thickBot="1" x14ac:dyDescent="0.25"/>
    <row r="13" spans="1:8" ht="27" thickBot="1" x14ac:dyDescent="0.45">
      <c r="A13" s="156" t="s">
        <v>14</v>
      </c>
      <c r="B13" s="157">
        <f>B11-C11</f>
        <v>5097.2799999999988</v>
      </c>
      <c r="C13" s="158"/>
    </row>
    <row r="15" spans="1:8" x14ac:dyDescent="0.2">
      <c r="B15" s="100"/>
      <c r="C15" s="100"/>
    </row>
    <row r="16" spans="1:8" x14ac:dyDescent="0.2">
      <c r="B16" s="100"/>
      <c r="C16" s="100"/>
    </row>
    <row r="17" spans="2:2" x14ac:dyDescent="0.2">
      <c r="B17" s="100"/>
    </row>
  </sheetData>
  <mergeCells count="3">
    <mergeCell ref="A1:C1"/>
    <mergeCell ref="E1:H1"/>
    <mergeCell ref="E2:F2"/>
  </mergeCell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showGridLines="0" tabSelected="1" zoomScale="60" zoomScaleNormal="60" workbookViewId="0">
      <selection activeCell="A3" sqref="A3"/>
    </sheetView>
  </sheetViews>
  <sheetFormatPr defaultColWidth="8.85546875" defaultRowHeight="23.25" x14ac:dyDescent="0.35"/>
  <cols>
    <col min="1" max="1" width="108.28515625" style="6" customWidth="1"/>
    <col min="2" max="2" width="49.140625" style="6" customWidth="1"/>
    <col min="3" max="3" width="22" style="6" bestFit="1" customWidth="1"/>
    <col min="4" max="4" width="22.42578125" style="6" customWidth="1"/>
    <col min="5" max="5" width="18.28515625" style="6" hidden="1" customWidth="1"/>
    <col min="6" max="6" width="23.5703125" style="6" hidden="1" customWidth="1"/>
    <col min="7" max="7" width="30.140625" style="6" hidden="1" customWidth="1"/>
    <col min="8" max="8" width="14.140625" style="6" hidden="1" customWidth="1"/>
    <col min="9" max="9" width="57.42578125" style="6" hidden="1" customWidth="1"/>
    <col min="10" max="10" width="27.85546875" style="6" hidden="1" customWidth="1"/>
    <col min="11" max="11" width="23" style="6" hidden="1" customWidth="1"/>
    <col min="12" max="12" width="20.140625" style="6" hidden="1" customWidth="1"/>
    <col min="13" max="13" width="24.28515625" style="6" hidden="1" customWidth="1"/>
    <col min="14" max="15" width="19" style="6" hidden="1" customWidth="1"/>
    <col min="16" max="16384" width="8.85546875" style="6"/>
  </cols>
  <sheetData>
    <row r="1" spans="1:15" ht="24" thickBot="1" x14ac:dyDescent="0.4"/>
    <row r="2" spans="1:15" ht="36" customHeight="1" thickBot="1" x14ac:dyDescent="0.45">
      <c r="A2" s="66" t="s">
        <v>5</v>
      </c>
      <c r="B2" s="67" t="s">
        <v>12</v>
      </c>
      <c r="C2" s="65" t="s">
        <v>93</v>
      </c>
      <c r="D2" s="65" t="s">
        <v>92</v>
      </c>
      <c r="E2" s="8"/>
      <c r="H2" s="175" t="s">
        <v>11</v>
      </c>
      <c r="I2" s="176"/>
      <c r="J2" s="176"/>
    </row>
    <row r="3" spans="1:15" ht="51.75" customHeight="1" thickBot="1" x14ac:dyDescent="0.4">
      <c r="A3" s="55" t="s">
        <v>42</v>
      </c>
      <c r="B3" s="58"/>
      <c r="C3" s="133">
        <v>5765.01</v>
      </c>
      <c r="D3" s="58"/>
      <c r="I3" s="10"/>
      <c r="J3" s="69" t="s">
        <v>27</v>
      </c>
      <c r="K3" s="73" t="s">
        <v>26</v>
      </c>
      <c r="L3" s="11" t="s">
        <v>28</v>
      </c>
      <c r="M3" s="109" t="s">
        <v>72</v>
      </c>
      <c r="N3" s="73" t="s">
        <v>73</v>
      </c>
      <c r="O3" s="110" t="s">
        <v>2</v>
      </c>
    </row>
    <row r="4" spans="1:15" x14ac:dyDescent="0.35">
      <c r="A4" s="55" t="s">
        <v>43</v>
      </c>
      <c r="B4" s="56"/>
      <c r="C4" s="134">
        <v>346.82</v>
      </c>
      <c r="D4" s="56"/>
      <c r="H4" s="12">
        <v>1</v>
      </c>
      <c r="I4" s="108" t="s">
        <v>80</v>
      </c>
      <c r="J4" s="13"/>
      <c r="K4" s="14"/>
      <c r="L4" s="9"/>
    </row>
    <row r="5" spans="1:15" x14ac:dyDescent="0.35">
      <c r="B5" s="22"/>
      <c r="C5" s="134"/>
      <c r="D5" s="29"/>
      <c r="H5" s="15">
        <v>2</v>
      </c>
      <c r="I5" s="108" t="s">
        <v>81</v>
      </c>
      <c r="J5" s="16"/>
      <c r="K5" s="14"/>
      <c r="L5" s="9"/>
    </row>
    <row r="6" spans="1:15" x14ac:dyDescent="0.35">
      <c r="A6" s="30" t="s">
        <v>13</v>
      </c>
      <c r="B6" s="31" t="s">
        <v>6</v>
      </c>
      <c r="C6" s="135">
        <v>76</v>
      </c>
      <c r="D6" s="31"/>
      <c r="H6" s="15">
        <v>3</v>
      </c>
      <c r="I6" s="108" t="s">
        <v>82</v>
      </c>
      <c r="J6" s="16"/>
      <c r="K6" s="14"/>
      <c r="L6" s="9"/>
    </row>
    <row r="7" spans="1:15" ht="24" thickBot="1" x14ac:dyDescent="0.4">
      <c r="A7" s="68" t="s">
        <v>34</v>
      </c>
      <c r="B7" s="31" t="s">
        <v>6</v>
      </c>
      <c r="C7" s="135">
        <f>400+40</f>
        <v>440</v>
      </c>
      <c r="D7" s="31"/>
      <c r="H7" s="17">
        <v>4</v>
      </c>
      <c r="I7" s="108" t="s">
        <v>83</v>
      </c>
      <c r="J7" s="18"/>
      <c r="K7" s="14"/>
      <c r="L7" s="9"/>
    </row>
    <row r="8" spans="1:15" ht="24" thickBot="1" x14ac:dyDescent="0.4">
      <c r="A8" s="30" t="s">
        <v>9</v>
      </c>
      <c r="B8" s="31" t="s">
        <v>6</v>
      </c>
      <c r="C8" s="59"/>
      <c r="D8" s="45">
        <f>5.99+118.5</f>
        <v>124.49</v>
      </c>
      <c r="I8" s="19"/>
      <c r="J8" s="20"/>
      <c r="K8" s="14"/>
      <c r="L8" s="9"/>
    </row>
    <row r="9" spans="1:15" ht="24" thickBot="1" x14ac:dyDescent="0.4">
      <c r="A9" s="30" t="s">
        <v>29</v>
      </c>
      <c r="B9" s="31" t="s">
        <v>6</v>
      </c>
      <c r="C9" s="59"/>
      <c r="D9" s="45">
        <v>203.5</v>
      </c>
      <c r="H9" s="172" t="s">
        <v>1</v>
      </c>
      <c r="I9" s="173"/>
      <c r="J9" s="21">
        <f>SUM(J4:J8)</f>
        <v>0</v>
      </c>
      <c r="K9" s="21">
        <f>C17</f>
        <v>5562.35</v>
      </c>
      <c r="L9" s="21">
        <f>D18+D19+D20+D21</f>
        <v>6509.2</v>
      </c>
      <c r="M9" s="21">
        <v>640.63</v>
      </c>
      <c r="N9" s="21">
        <v>5868.57</v>
      </c>
      <c r="O9" s="21">
        <f>(N9-K9)+M9</f>
        <v>946.84999999999934</v>
      </c>
    </row>
    <row r="10" spans="1:15" x14ac:dyDescent="0.35">
      <c r="A10" s="30" t="s">
        <v>77</v>
      </c>
      <c r="B10" s="31" t="s">
        <v>78</v>
      </c>
      <c r="C10" s="59"/>
      <c r="D10" s="45">
        <f>180+7.5+6</f>
        <v>193.5</v>
      </c>
      <c r="H10" s="111"/>
      <c r="I10" s="111"/>
      <c r="J10" s="112"/>
      <c r="K10" s="112"/>
      <c r="L10" s="112"/>
      <c r="M10" s="112"/>
      <c r="N10" s="112"/>
      <c r="O10" s="112"/>
    </row>
    <row r="11" spans="1:15" x14ac:dyDescent="0.35">
      <c r="A11" s="30" t="s">
        <v>79</v>
      </c>
      <c r="B11" s="31" t="s">
        <v>39</v>
      </c>
      <c r="C11" s="59"/>
      <c r="D11" s="45">
        <v>38</v>
      </c>
      <c r="H11" s="111"/>
      <c r="I11" s="111"/>
      <c r="J11" s="112"/>
      <c r="K11" s="112"/>
      <c r="L11" s="112"/>
      <c r="M11" s="112"/>
      <c r="N11" s="112"/>
      <c r="O11" s="112"/>
    </row>
    <row r="12" spans="1:15" ht="24" thickBot="1" x14ac:dyDescent="0.4">
      <c r="A12" s="101" t="s">
        <v>102</v>
      </c>
      <c r="B12" s="114" t="s">
        <v>3</v>
      </c>
      <c r="C12" s="128">
        <v>12760</v>
      </c>
      <c r="D12" s="116">
        <v>12377.32</v>
      </c>
      <c r="E12" s="116"/>
      <c r="F12" s="116"/>
      <c r="L12" s="9"/>
    </row>
    <row r="13" spans="1:15" x14ac:dyDescent="0.35">
      <c r="A13" s="49" t="s">
        <v>76</v>
      </c>
      <c r="B13" s="50" t="s">
        <v>21</v>
      </c>
      <c r="C13" s="129">
        <v>685</v>
      </c>
      <c r="D13" s="50"/>
      <c r="I13" s="74" t="s">
        <v>22</v>
      </c>
      <c r="J13" s="75">
        <f>C22</f>
        <v>3300</v>
      </c>
    </row>
    <row r="14" spans="1:15" x14ac:dyDescent="0.35">
      <c r="A14" s="49" t="s">
        <v>30</v>
      </c>
      <c r="B14" s="50" t="s">
        <v>21</v>
      </c>
      <c r="C14" s="130"/>
      <c r="D14" s="51">
        <v>685</v>
      </c>
      <c r="I14" s="76" t="s">
        <v>23</v>
      </c>
      <c r="J14" s="77" t="e">
        <f>-(#REF!+D28+D29+D30+D31+D32+D33+D34+D35+D36+D37+D38)</f>
        <v>#REF!</v>
      </c>
    </row>
    <row r="15" spans="1:15" x14ac:dyDescent="0.35">
      <c r="A15" s="49" t="s">
        <v>31</v>
      </c>
      <c r="B15" s="50" t="s">
        <v>2</v>
      </c>
      <c r="C15" s="129"/>
      <c r="D15" s="51">
        <v>115</v>
      </c>
      <c r="I15" s="76" t="s">
        <v>33</v>
      </c>
      <c r="J15" s="77">
        <f>-(L9-K9)</f>
        <v>-946.84999999999945</v>
      </c>
    </row>
    <row r="16" spans="1:15" ht="24" thickBot="1" x14ac:dyDescent="0.4">
      <c r="A16" s="53"/>
      <c r="B16" s="32"/>
      <c r="C16" s="131"/>
      <c r="D16" s="32"/>
      <c r="I16" s="78" t="s">
        <v>24</v>
      </c>
      <c r="J16" s="79" t="e">
        <f>SUM(J13:J15)</f>
        <v>#REF!</v>
      </c>
      <c r="K16" s="6" t="s">
        <v>25</v>
      </c>
    </row>
    <row r="17" spans="1:10" x14ac:dyDescent="0.35">
      <c r="A17" s="53" t="s">
        <v>44</v>
      </c>
      <c r="B17" s="32" t="s">
        <v>46</v>
      </c>
      <c r="C17" s="131">
        <v>5562.35</v>
      </c>
      <c r="D17" s="32"/>
      <c r="I17" s="97"/>
      <c r="J17" s="98"/>
    </row>
    <row r="18" spans="1:10" x14ac:dyDescent="0.35">
      <c r="A18" s="34" t="s">
        <v>47</v>
      </c>
      <c r="B18" s="32" t="s">
        <v>74</v>
      </c>
      <c r="C18" s="132"/>
      <c r="D18" s="33">
        <f>H35+H36</f>
        <v>829.12999999999988</v>
      </c>
      <c r="F18" s="9"/>
    </row>
    <row r="19" spans="1:10" x14ac:dyDescent="0.35">
      <c r="A19" s="34" t="s">
        <v>48</v>
      </c>
      <c r="B19" s="32" t="s">
        <v>46</v>
      </c>
      <c r="C19" s="60"/>
      <c r="D19" s="33">
        <f>H32</f>
        <v>400</v>
      </c>
    </row>
    <row r="20" spans="1:10" x14ac:dyDescent="0.35">
      <c r="A20" s="34" t="s">
        <v>49</v>
      </c>
      <c r="B20" s="32" t="s">
        <v>46</v>
      </c>
      <c r="C20" s="60"/>
      <c r="D20" s="46">
        <f>H31+H33+H34</f>
        <v>4099.08</v>
      </c>
      <c r="I20" s="174"/>
      <c r="J20" s="174"/>
    </row>
    <row r="21" spans="1:10" x14ac:dyDescent="0.35">
      <c r="A21" s="34" t="s">
        <v>58</v>
      </c>
      <c r="B21" s="32" t="s">
        <v>74</v>
      </c>
      <c r="C21" s="60"/>
      <c r="D21" s="46">
        <f>H37</f>
        <v>1180.99</v>
      </c>
      <c r="I21" s="96"/>
      <c r="J21" s="96"/>
    </row>
    <row r="22" spans="1:10" x14ac:dyDescent="0.35">
      <c r="A22" s="35" t="s">
        <v>20</v>
      </c>
      <c r="B22" s="37" t="s">
        <v>2</v>
      </c>
      <c r="C22" s="127">
        <v>3300</v>
      </c>
      <c r="D22" s="41"/>
      <c r="I22" s="1"/>
      <c r="J22" s="1"/>
    </row>
    <row r="23" spans="1:10" x14ac:dyDescent="0.35">
      <c r="A23" s="35" t="s">
        <v>110</v>
      </c>
      <c r="B23" s="37" t="s">
        <v>2</v>
      </c>
      <c r="C23" s="127">
        <v>170</v>
      </c>
      <c r="D23" s="41"/>
      <c r="E23" s="9"/>
      <c r="I23" s="3"/>
      <c r="J23" s="2"/>
    </row>
    <row r="24" spans="1:10" x14ac:dyDescent="0.35">
      <c r="A24" s="35" t="s">
        <v>111</v>
      </c>
      <c r="B24" s="37" t="s">
        <v>2</v>
      </c>
      <c r="C24" s="127"/>
      <c r="D24" s="42">
        <v>170</v>
      </c>
      <c r="I24" s="1"/>
      <c r="J24" s="1"/>
    </row>
    <row r="25" spans="1:10" x14ac:dyDescent="0.35">
      <c r="A25" s="35" t="s">
        <v>59</v>
      </c>
      <c r="B25" s="37" t="s">
        <v>2</v>
      </c>
      <c r="C25" s="57"/>
      <c r="D25" s="42">
        <v>312</v>
      </c>
      <c r="I25" s="1"/>
      <c r="J25" s="1"/>
    </row>
    <row r="26" spans="1:10" x14ac:dyDescent="0.35">
      <c r="A26" s="35" t="s">
        <v>17</v>
      </c>
      <c r="B26" s="37" t="s">
        <v>2</v>
      </c>
      <c r="C26" s="127">
        <f>77+10</f>
        <v>87</v>
      </c>
      <c r="D26" s="41"/>
      <c r="E26" s="9"/>
      <c r="I26" s="3"/>
      <c r="J26" s="2"/>
    </row>
    <row r="27" spans="1:10" x14ac:dyDescent="0.35">
      <c r="A27" s="124" t="s">
        <v>98</v>
      </c>
      <c r="B27" s="37" t="s">
        <v>2</v>
      </c>
      <c r="C27" s="127">
        <f>68.6+26.46+51.94+17.64-9.14+146</f>
        <v>301.5</v>
      </c>
      <c r="D27" s="41"/>
      <c r="E27" s="9"/>
      <c r="I27" s="3"/>
      <c r="J27" s="2"/>
    </row>
    <row r="28" spans="1:10" x14ac:dyDescent="0.35">
      <c r="A28" s="35" t="s">
        <v>16</v>
      </c>
      <c r="B28" s="37" t="s">
        <v>2</v>
      </c>
      <c r="C28" s="61"/>
      <c r="D28" s="52">
        <v>943.8</v>
      </c>
      <c r="E28" s="9"/>
      <c r="I28" s="3"/>
      <c r="J28" s="2"/>
    </row>
    <row r="29" spans="1:10" x14ac:dyDescent="0.35">
      <c r="A29" s="35" t="s">
        <v>32</v>
      </c>
      <c r="B29" s="37" t="s">
        <v>2</v>
      </c>
      <c r="C29" s="61"/>
      <c r="D29" s="42">
        <v>60.5</v>
      </c>
      <c r="G29" s="99" t="s">
        <v>50</v>
      </c>
      <c r="H29"/>
      <c r="I29" s="3"/>
      <c r="J29" s="2"/>
    </row>
    <row r="30" spans="1:10" x14ac:dyDescent="0.35">
      <c r="A30" s="35" t="s">
        <v>10</v>
      </c>
      <c r="B30" s="37" t="s">
        <v>2</v>
      </c>
      <c r="C30" s="61"/>
      <c r="D30" s="42">
        <f>26.19+14.74</f>
        <v>40.93</v>
      </c>
      <c r="E30" s="9"/>
      <c r="G30"/>
      <c r="H30"/>
      <c r="I30" s="4"/>
      <c r="J30" s="2"/>
    </row>
    <row r="31" spans="1:10" x14ac:dyDescent="0.35">
      <c r="A31" s="35" t="s">
        <v>0</v>
      </c>
      <c r="B31" s="37" t="s">
        <v>2</v>
      </c>
      <c r="C31" s="61"/>
      <c r="D31" s="42">
        <v>189.02</v>
      </c>
      <c r="G31" t="s">
        <v>51</v>
      </c>
      <c r="H31" s="100">
        <f>'[1]JUSTIFICACION ECONOMICA'!$H$27+'[1]JUSTIFICACION ECONOMICA'!$H$26+'[1]JUSTIFICACION ECONOMICA'!$H$32+'[1]JUSTIFICACION ECONOMICA'!$H$34+'[1]JUSTIFICACION ECONOMICA'!$H$35+'[1]JUSTIFICACION ECONOMICA'!$H$36</f>
        <v>1015.23</v>
      </c>
      <c r="I31" s="3"/>
      <c r="J31" s="2"/>
    </row>
    <row r="32" spans="1:10" x14ac:dyDescent="0.35">
      <c r="A32" s="35" t="s">
        <v>4</v>
      </c>
      <c r="B32" s="37" t="s">
        <v>2</v>
      </c>
      <c r="C32" s="62"/>
      <c r="D32" s="36">
        <v>108.6</v>
      </c>
      <c r="G32" t="s">
        <v>52</v>
      </c>
      <c r="H32" s="100">
        <f>'[1]JUSTIFICACION ECONOMICA'!$H$33</f>
        <v>400</v>
      </c>
      <c r="I32" s="3"/>
      <c r="J32" s="2"/>
    </row>
    <row r="33" spans="1:10" x14ac:dyDescent="0.35">
      <c r="A33" s="35" t="s">
        <v>60</v>
      </c>
      <c r="B33" s="37" t="s">
        <v>2</v>
      </c>
      <c r="C33" s="127">
        <v>1488.5</v>
      </c>
      <c r="D33" s="36">
        <f>800.33+800+306</f>
        <v>1906.33</v>
      </c>
      <c r="E33" s="9"/>
      <c r="G33" t="s">
        <v>53</v>
      </c>
      <c r="H33" s="100">
        <f>'[1]JUSTIFICACION ECONOMICA'!$H$25</f>
        <v>943.8</v>
      </c>
      <c r="I33" s="3"/>
      <c r="J33" s="2"/>
    </row>
    <row r="34" spans="1:10" x14ac:dyDescent="0.35">
      <c r="A34" s="35" t="s">
        <v>19</v>
      </c>
      <c r="B34" s="37" t="s">
        <v>2</v>
      </c>
      <c r="C34" s="62"/>
      <c r="D34" s="48">
        <v>186.73</v>
      </c>
      <c r="E34" s="9"/>
      <c r="G34" t="s">
        <v>54</v>
      </c>
      <c r="H34" s="100">
        <f>'[1]JUSTIFICACION ECONOMICA'!$H$31+'[1]JUSTIFICACION ECONOMICA'!$H$38</f>
        <v>2140.0500000000002</v>
      </c>
      <c r="I34" s="4"/>
      <c r="J34" s="2"/>
    </row>
    <row r="35" spans="1:10" x14ac:dyDescent="0.35">
      <c r="A35" s="35" t="s">
        <v>61</v>
      </c>
      <c r="B35" s="37" t="s">
        <v>2</v>
      </c>
      <c r="C35" s="62"/>
      <c r="D35" s="36">
        <f>397.14+605</f>
        <v>1002.14</v>
      </c>
      <c r="E35" s="9"/>
      <c r="G35" t="s">
        <v>55</v>
      </c>
      <c r="H35" s="100">
        <f>'[1]JUSTIFICACION ECONOMICA'!$H$28+'[1]JUSTIFICACION ECONOMICA'!$H$30+'[1]JUSTIFICACION ECONOMICA'!$H$37</f>
        <v>314.8</v>
      </c>
      <c r="I35" s="4"/>
      <c r="J35" s="2"/>
    </row>
    <row r="36" spans="1:10" x14ac:dyDescent="0.35">
      <c r="A36" s="35" t="s">
        <v>75</v>
      </c>
      <c r="B36" s="37" t="s">
        <v>2</v>
      </c>
      <c r="C36" s="62"/>
      <c r="D36" s="36">
        <f>47.9+92.06+0.31</f>
        <v>140.27000000000001</v>
      </c>
      <c r="G36" t="s">
        <v>56</v>
      </c>
      <c r="H36" s="100">
        <f>'[1]JUSTIFICACION ECONOMICA'!$H$19+'[1]JUSTIFICACION ECONOMICA'!$H$20+'[1]JUSTIFICACION ECONOMICA'!$H$22+'[1]JUSTIFICACION ECONOMICA'!$H$23+'[1]JUSTIFICACION ECONOMICA'!$H$24</f>
        <v>514.32999999999993</v>
      </c>
      <c r="I36" s="3"/>
      <c r="J36" s="2"/>
    </row>
    <row r="37" spans="1:10" x14ac:dyDescent="0.35">
      <c r="A37" s="35" t="s">
        <v>62</v>
      </c>
      <c r="B37" s="37" t="s">
        <v>2</v>
      </c>
      <c r="C37" s="62"/>
      <c r="D37" s="48">
        <v>64.650000000000006</v>
      </c>
      <c r="G37" t="s">
        <v>57</v>
      </c>
      <c r="H37" s="100">
        <f>'[1]JUSTIFICACION ECONOMICA'!$H$18+'[1]JUSTIFICACION ECONOMICA'!$H$29+'[1]JUSTIFICACION ECONOMICA'!$H$39+'[1]JUSTIFICACION ECONOMICA'!$H$40+'[1]JUSTIFICACION ECONOMICA'!$H$41+'[1]JUSTIFICACION ECONOMICA'!$H$21</f>
        <v>1180.99</v>
      </c>
      <c r="I37" s="3"/>
      <c r="J37" s="2"/>
    </row>
    <row r="38" spans="1:10" x14ac:dyDescent="0.35">
      <c r="A38" s="35" t="s">
        <v>63</v>
      </c>
      <c r="B38" s="37" t="s">
        <v>2</v>
      </c>
      <c r="C38" s="62"/>
      <c r="D38" s="48">
        <f>25.44+2.5</f>
        <v>27.94</v>
      </c>
      <c r="G38"/>
      <c r="H38" s="100">
        <f>SUM(H31:H37)</f>
        <v>6509.2</v>
      </c>
      <c r="I38" s="3"/>
      <c r="J38" s="2"/>
    </row>
    <row r="39" spans="1:10" x14ac:dyDescent="0.35">
      <c r="A39" s="35" t="s">
        <v>103</v>
      </c>
      <c r="B39" s="37" t="s">
        <v>2</v>
      </c>
      <c r="C39" s="62"/>
      <c r="D39" s="48">
        <v>400</v>
      </c>
      <c r="G39"/>
      <c r="H39" s="100"/>
      <c r="I39" s="3"/>
      <c r="J39" s="2"/>
    </row>
    <row r="40" spans="1:10" x14ac:dyDescent="0.35">
      <c r="A40" s="35" t="s">
        <v>108</v>
      </c>
      <c r="B40" s="37" t="s">
        <v>2</v>
      </c>
      <c r="C40" s="62"/>
      <c r="D40" s="48">
        <v>118.15</v>
      </c>
      <c r="G40"/>
      <c r="H40" s="100"/>
      <c r="I40" s="3"/>
      <c r="J40" s="2"/>
    </row>
    <row r="41" spans="1:10" x14ac:dyDescent="0.35">
      <c r="A41" s="35" t="s">
        <v>109</v>
      </c>
      <c r="B41" s="37" t="s">
        <v>2</v>
      </c>
      <c r="C41" s="62"/>
      <c r="D41" s="48">
        <v>90</v>
      </c>
      <c r="G41"/>
      <c r="H41" s="100"/>
      <c r="I41" s="3"/>
      <c r="J41" s="2"/>
    </row>
    <row r="42" spans="1:10" x14ac:dyDescent="0.35">
      <c r="A42" s="54" t="s">
        <v>90</v>
      </c>
      <c r="B42" s="40" t="s">
        <v>18</v>
      </c>
      <c r="C42" s="63"/>
      <c r="D42" s="39">
        <f>2720-D64</f>
        <v>2245</v>
      </c>
      <c r="F42" s="9"/>
      <c r="I42" s="4"/>
      <c r="J42" s="23"/>
    </row>
    <row r="43" spans="1:10" x14ac:dyDescent="0.35">
      <c r="A43" s="38" t="s">
        <v>91</v>
      </c>
      <c r="B43" s="40" t="s">
        <v>18</v>
      </c>
      <c r="C43" s="136">
        <v>812.5</v>
      </c>
      <c r="D43" s="39"/>
      <c r="I43" s="1"/>
      <c r="J43" s="1"/>
    </row>
    <row r="44" spans="1:10" x14ac:dyDescent="0.35">
      <c r="A44" s="125" t="s">
        <v>89</v>
      </c>
      <c r="B44" s="40" t="s">
        <v>18</v>
      </c>
      <c r="C44" s="136">
        <f>265+240+240+225+195</f>
        <v>1165</v>
      </c>
      <c r="D44" s="39"/>
      <c r="E44" s="9">
        <f>C42-D43-D44</f>
        <v>0</v>
      </c>
      <c r="I44" s="1"/>
      <c r="J44" s="1"/>
    </row>
    <row r="45" spans="1:10" x14ac:dyDescent="0.35">
      <c r="A45" s="101" t="s">
        <v>87</v>
      </c>
      <c r="B45" s="114" t="s">
        <v>18</v>
      </c>
      <c r="C45" s="115"/>
      <c r="D45" s="116">
        <f>72+135+90+90+120+120+120-D62</f>
        <v>627</v>
      </c>
      <c r="I45" s="1"/>
      <c r="J45" s="1"/>
    </row>
    <row r="46" spans="1:10" x14ac:dyDescent="0.35">
      <c r="A46" s="101" t="s">
        <v>85</v>
      </c>
      <c r="B46" s="114" t="s">
        <v>18</v>
      </c>
      <c r="C46" s="128">
        <f>72+135</f>
        <v>207</v>
      </c>
      <c r="D46" s="116"/>
      <c r="E46" s="9">
        <f>D46-C45</f>
        <v>0</v>
      </c>
      <c r="I46" s="1"/>
      <c r="J46" s="1"/>
    </row>
    <row r="47" spans="1:10" x14ac:dyDescent="0.35">
      <c r="A47" s="126" t="s">
        <v>86</v>
      </c>
      <c r="B47" s="114" t="s">
        <v>18</v>
      </c>
      <c r="C47" s="128">
        <f>90+90+120+120+120-120</f>
        <v>420</v>
      </c>
      <c r="D47" s="116"/>
      <c r="E47" s="9">
        <v>52</v>
      </c>
      <c r="I47" s="1"/>
      <c r="J47" s="1"/>
    </row>
    <row r="48" spans="1:10" x14ac:dyDescent="0.35">
      <c r="A48" s="118" t="s">
        <v>68</v>
      </c>
      <c r="B48" s="119" t="s">
        <v>18</v>
      </c>
      <c r="C48" s="122"/>
      <c r="D48" s="123">
        <v>73.12</v>
      </c>
      <c r="I48" s="1"/>
      <c r="J48" s="1"/>
    </row>
    <row r="49" spans="1:13" x14ac:dyDescent="0.35">
      <c r="A49" s="103" t="s">
        <v>64</v>
      </c>
      <c r="B49" s="104" t="s">
        <v>18</v>
      </c>
      <c r="C49" s="137">
        <f>1980+180</f>
        <v>2160</v>
      </c>
      <c r="D49" s="106"/>
      <c r="I49" s="1"/>
      <c r="J49" s="1"/>
    </row>
    <row r="50" spans="1:13" x14ac:dyDescent="0.35">
      <c r="A50" s="103" t="s">
        <v>104</v>
      </c>
      <c r="B50" s="104" t="s">
        <v>18</v>
      </c>
      <c r="C50" s="105"/>
      <c r="D50" s="106">
        <v>180</v>
      </c>
      <c r="I50" s="1"/>
      <c r="J50" s="1"/>
    </row>
    <row r="51" spans="1:13" x14ac:dyDescent="0.35">
      <c r="A51" s="103" t="s">
        <v>65</v>
      </c>
      <c r="B51" s="104" t="s">
        <v>18</v>
      </c>
      <c r="C51" s="107"/>
      <c r="D51" s="106">
        <v>1200</v>
      </c>
      <c r="F51" s="39"/>
      <c r="I51" s="1"/>
      <c r="J51" s="1"/>
    </row>
    <row r="52" spans="1:13" x14ac:dyDescent="0.35">
      <c r="A52" s="103" t="s">
        <v>66</v>
      </c>
      <c r="B52" s="104" t="s">
        <v>67</v>
      </c>
      <c r="C52" s="107"/>
      <c r="D52" s="106">
        <v>1512</v>
      </c>
      <c r="E52" s="9"/>
      <c r="F52" s="102"/>
      <c r="I52" s="1"/>
      <c r="J52" s="1"/>
    </row>
    <row r="53" spans="1:13" x14ac:dyDescent="0.35">
      <c r="A53" s="103" t="s">
        <v>100</v>
      </c>
      <c r="B53" s="104" t="s">
        <v>46</v>
      </c>
      <c r="C53" s="107"/>
      <c r="D53" s="106">
        <v>882</v>
      </c>
      <c r="E53" s="9"/>
      <c r="F53" s="102"/>
      <c r="I53" s="1"/>
      <c r="J53" s="1"/>
    </row>
    <row r="54" spans="1:13" x14ac:dyDescent="0.35">
      <c r="A54" s="103" t="s">
        <v>45</v>
      </c>
      <c r="B54" s="104" t="s">
        <v>46</v>
      </c>
      <c r="C54" s="138">
        <v>1860.85</v>
      </c>
      <c r="D54" s="106"/>
      <c r="F54" s="102"/>
      <c r="I54" s="1"/>
      <c r="J54" s="1"/>
    </row>
    <row r="55" spans="1:13" x14ac:dyDescent="0.35">
      <c r="A55" s="118" t="s">
        <v>69</v>
      </c>
      <c r="B55" s="119" t="s">
        <v>15</v>
      </c>
      <c r="C55" s="120"/>
      <c r="D55" s="121">
        <v>62.4</v>
      </c>
      <c r="I55" s="1"/>
      <c r="J55" s="1"/>
    </row>
    <row r="56" spans="1:13" x14ac:dyDescent="0.35">
      <c r="A56" s="118" t="s">
        <v>94</v>
      </c>
      <c r="B56" s="119" t="s">
        <v>15</v>
      </c>
      <c r="C56" s="139">
        <v>856.4</v>
      </c>
      <c r="D56" s="121"/>
      <c r="I56" s="1"/>
      <c r="J56" s="1"/>
    </row>
    <row r="57" spans="1:13" x14ac:dyDescent="0.35">
      <c r="A57" s="43" t="s">
        <v>70</v>
      </c>
      <c r="B57" s="44" t="s">
        <v>15</v>
      </c>
      <c r="C57" s="140">
        <v>1594.5000000000005</v>
      </c>
      <c r="D57" s="44"/>
      <c r="I57" s="1"/>
      <c r="J57" s="1"/>
    </row>
    <row r="58" spans="1:13" ht="26.25" x14ac:dyDescent="0.4">
      <c r="A58" s="43" t="s">
        <v>105</v>
      </c>
      <c r="B58" s="44" t="s">
        <v>15</v>
      </c>
      <c r="C58" s="140">
        <v>169.9</v>
      </c>
      <c r="D58" s="44"/>
      <c r="F58" s="113"/>
      <c r="I58" s="1"/>
      <c r="J58" s="1"/>
    </row>
    <row r="59" spans="1:13" ht="26.25" x14ac:dyDescent="0.4">
      <c r="A59" s="43" t="s">
        <v>106</v>
      </c>
      <c r="B59" s="44" t="s">
        <v>15</v>
      </c>
      <c r="C59" s="64">
        <v>52.3</v>
      </c>
      <c r="D59" s="44"/>
      <c r="F59" s="113"/>
      <c r="I59" s="1"/>
      <c r="J59" s="1"/>
    </row>
    <row r="60" spans="1:13" ht="26.25" x14ac:dyDescent="0.4">
      <c r="A60" s="43" t="s">
        <v>107</v>
      </c>
      <c r="B60" s="44" t="s">
        <v>15</v>
      </c>
      <c r="C60" s="64">
        <v>74.400000000000006</v>
      </c>
      <c r="D60" s="44"/>
      <c r="F60" s="113"/>
      <c r="I60" s="1"/>
      <c r="J60" s="1"/>
    </row>
    <row r="61" spans="1:13" x14ac:dyDescent="0.35">
      <c r="A61" s="43" t="s">
        <v>40</v>
      </c>
      <c r="B61" s="44" t="s">
        <v>15</v>
      </c>
      <c r="C61" s="64"/>
      <c r="D61" s="47">
        <v>630</v>
      </c>
      <c r="I61" s="1" t="s">
        <v>97</v>
      </c>
      <c r="J61" s="1">
        <v>3071</v>
      </c>
    </row>
    <row r="62" spans="1:13" x14ac:dyDescent="0.35">
      <c r="A62" s="43" t="s">
        <v>71</v>
      </c>
      <c r="B62" s="44" t="s">
        <v>15</v>
      </c>
      <c r="C62" s="64"/>
      <c r="D62" s="47">
        <v>120</v>
      </c>
      <c r="I62" s="1" t="s">
        <v>95</v>
      </c>
      <c r="K62" s="1"/>
      <c r="L62" s="9">
        <f>D62+D63+D64+D65+D61</f>
        <v>2434</v>
      </c>
    </row>
    <row r="63" spans="1:13" x14ac:dyDescent="0.35">
      <c r="A63" s="43" t="s">
        <v>41</v>
      </c>
      <c r="B63" s="44" t="s">
        <v>15</v>
      </c>
      <c r="C63" s="44"/>
      <c r="D63" s="47">
        <v>1029</v>
      </c>
      <c r="I63" s="82" t="s">
        <v>18</v>
      </c>
      <c r="K63" s="5">
        <f>C58+C59+C60</f>
        <v>296.60000000000002</v>
      </c>
      <c r="M63" s="83"/>
    </row>
    <row r="64" spans="1:13" x14ac:dyDescent="0.35">
      <c r="A64" s="43" t="s">
        <v>84</v>
      </c>
      <c r="B64" s="44" t="s">
        <v>15</v>
      </c>
      <c r="C64" s="44"/>
      <c r="D64" s="47">
        <v>475</v>
      </c>
      <c r="I64" s="82" t="s">
        <v>35</v>
      </c>
      <c r="K64" s="5">
        <f>[2]BECADOS!$S$23</f>
        <v>1594.5000000000005</v>
      </c>
      <c r="M64" s="83"/>
    </row>
    <row r="65" spans="1:13" x14ac:dyDescent="0.35">
      <c r="A65" s="43" t="s">
        <v>96</v>
      </c>
      <c r="B65" s="44" t="s">
        <v>15</v>
      </c>
      <c r="C65" s="44"/>
      <c r="D65" s="47">
        <v>180</v>
      </c>
      <c r="I65" s="82" t="s">
        <v>36</v>
      </c>
      <c r="K65" s="5">
        <f>[2]BECADOS!$T$23</f>
        <v>1063.0000000000005</v>
      </c>
      <c r="M65" s="83"/>
    </row>
    <row r="66" spans="1:13" ht="24" thickBot="1" x14ac:dyDescent="0.4">
      <c r="A66" s="6" t="s">
        <v>88</v>
      </c>
      <c r="C66" s="22"/>
      <c r="D66" s="117">
        <f>F73</f>
        <v>35.159999999999997</v>
      </c>
      <c r="F66" s="6">
        <v>60.8</v>
      </c>
      <c r="I66" s="82"/>
      <c r="J66" s="85">
        <f>SUM(J61:J65)</f>
        <v>3071</v>
      </c>
      <c r="K66" s="85">
        <f>SUM(K63:K65)</f>
        <v>2954.1000000000008</v>
      </c>
      <c r="L66" s="85">
        <f>SUM(L62:L65)</f>
        <v>2434</v>
      </c>
      <c r="M66" s="86"/>
    </row>
    <row r="67" spans="1:13" ht="42" customHeight="1" thickBot="1" x14ac:dyDescent="0.4">
      <c r="A67" s="7"/>
      <c r="B67" s="24"/>
      <c r="C67" s="70">
        <f>SUM(C3:C63)</f>
        <v>40355.030000000006</v>
      </c>
      <c r="D67" s="70">
        <f>SUM(D3:D66)</f>
        <v>35257.75</v>
      </c>
      <c r="F67" s="6">
        <v>-54.99</v>
      </c>
      <c r="M67" s="83"/>
    </row>
    <row r="68" spans="1:13" ht="24" thickBot="1" x14ac:dyDescent="0.4">
      <c r="B68" s="25" t="s">
        <v>14</v>
      </c>
      <c r="C68" s="26"/>
      <c r="D68" s="71">
        <f>C67-D67</f>
        <v>5097.2800000000061</v>
      </c>
      <c r="F68" s="6">
        <v>6.8</v>
      </c>
      <c r="M68" s="83"/>
    </row>
    <row r="69" spans="1:13" ht="24" thickBot="1" x14ac:dyDescent="0.4">
      <c r="C69" s="27" t="s">
        <v>8</v>
      </c>
      <c r="D69" s="27">
        <f>'[2]BALANCE 22-23'!$D$102</f>
        <v>4942.1900000000069</v>
      </c>
      <c r="F69" s="6">
        <v>4.9000000000000004</v>
      </c>
      <c r="I69" s="84"/>
      <c r="L69" s="85">
        <f>SUM(K63)</f>
        <v>296.60000000000002</v>
      </c>
    </row>
    <row r="70" spans="1:13" x14ac:dyDescent="0.35">
      <c r="C70" s="28" t="s">
        <v>7</v>
      </c>
      <c r="D70" s="28">
        <f>199.7-40</f>
        <v>159.69999999999999</v>
      </c>
      <c r="F70" s="6">
        <v>4.2</v>
      </c>
    </row>
    <row r="71" spans="1:13" ht="27" thickBot="1" x14ac:dyDescent="0.45">
      <c r="C71" s="72" t="s">
        <v>1</v>
      </c>
      <c r="D71" s="72">
        <f>SUM(D69:D70)</f>
        <v>5101.8900000000067</v>
      </c>
      <c r="F71" s="6">
        <v>6.46</v>
      </c>
    </row>
    <row r="72" spans="1:13" x14ac:dyDescent="0.35">
      <c r="C72" s="27" t="s">
        <v>14</v>
      </c>
      <c r="D72" s="27">
        <f>D68-D71</f>
        <v>-4.6100000000005821</v>
      </c>
      <c r="F72" s="6">
        <v>6.99</v>
      </c>
      <c r="I72" s="74" t="s">
        <v>37</v>
      </c>
      <c r="J72" s="81"/>
      <c r="K72" s="81"/>
      <c r="L72" s="87"/>
    </row>
    <row r="73" spans="1:13" x14ac:dyDescent="0.35">
      <c r="F73" s="6">
        <f>SUM(F66:F72)</f>
        <v>35.159999999999997</v>
      </c>
      <c r="I73" s="82" t="s">
        <v>35</v>
      </c>
      <c r="J73" s="5">
        <f>C57</f>
        <v>1594.5000000000005</v>
      </c>
      <c r="L73" s="83"/>
    </row>
    <row r="74" spans="1:13" x14ac:dyDescent="0.35">
      <c r="I74" s="82" t="s">
        <v>18</v>
      </c>
      <c r="J74" s="5"/>
      <c r="K74" s="5">
        <f>C58</f>
        <v>169.9</v>
      </c>
      <c r="L74" s="83"/>
    </row>
    <row r="75" spans="1:13" x14ac:dyDescent="0.35">
      <c r="I75" s="88"/>
      <c r="J75" s="80">
        <f>SUM(J73:J74)</f>
        <v>1594.5000000000005</v>
      </c>
      <c r="K75" s="80">
        <f>SUM(K74)</f>
        <v>169.9</v>
      </c>
      <c r="L75" s="89">
        <f>J75+K75</f>
        <v>1764.4000000000005</v>
      </c>
    </row>
    <row r="76" spans="1:13" x14ac:dyDescent="0.35">
      <c r="I76" s="76"/>
      <c r="L76" s="83"/>
    </row>
    <row r="77" spans="1:13" x14ac:dyDescent="0.35">
      <c r="I77" s="90" t="s">
        <v>38</v>
      </c>
      <c r="J77" s="91"/>
      <c r="K77" s="91"/>
      <c r="L77" s="92">
        <f>D64+D62+D63</f>
        <v>1624</v>
      </c>
    </row>
    <row r="78" spans="1:13" x14ac:dyDescent="0.35">
      <c r="I78" s="76"/>
      <c r="L78" s="77"/>
    </row>
    <row r="79" spans="1:13" ht="24" thickBot="1" x14ac:dyDescent="0.4">
      <c r="I79" s="93"/>
      <c r="J79" s="94"/>
      <c r="K79" s="94"/>
      <c r="L79" s="95"/>
    </row>
  </sheetData>
  <mergeCells count="3">
    <mergeCell ref="H9:I9"/>
    <mergeCell ref="I20:J20"/>
    <mergeCell ref="H2:J2"/>
  </mergeCells>
  <pageMargins left="0.7" right="0.7" top="0.75" bottom="0.75" header="0.3" footer="0.3"/>
  <pageSetup paperSize="9" orientation="portrait" horizontalDpi="90" verticalDpi="90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RESUMEN</vt:lpstr>
      <vt:lpstr>BALANÇ FINAL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Teresa</dc:creator>
  <cp:lastModifiedBy>Gomez Sanchez, Teresa</cp:lastModifiedBy>
  <dcterms:created xsi:type="dcterms:W3CDTF">2020-12-06T14:06:57Z</dcterms:created>
  <dcterms:modified xsi:type="dcterms:W3CDTF">2023-09-22T05:36:16Z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e47c19-e68f-4046-bf94-918d2dcc81ee_Enabled">
    <vt:lpwstr>true</vt:lpwstr>
  </property>
  <property fmtid="{D5CDD505-2E9C-101B-9397-08002B2CF9AE}" pid="3" name="MSIP_Label_a4e47c19-e68f-4046-bf94-918d2dcc81ee_SetDate">
    <vt:lpwstr>2020-12-06T15:35:03Z</vt:lpwstr>
  </property>
  <property fmtid="{D5CDD505-2E9C-101B-9397-08002B2CF9AE}" pid="4" name="MSIP_Label_a4e47c19-e68f-4046-bf94-918d2dcc81ee_Method">
    <vt:lpwstr>Standard</vt:lpwstr>
  </property>
  <property fmtid="{D5CDD505-2E9C-101B-9397-08002B2CF9AE}" pid="5" name="MSIP_Label_a4e47c19-e68f-4046-bf94-918d2dcc81ee_Name">
    <vt:lpwstr>Business Use Only</vt:lpwstr>
  </property>
  <property fmtid="{D5CDD505-2E9C-101B-9397-08002B2CF9AE}" pid="6" name="MSIP_Label_a4e47c19-e68f-4046-bf94-918d2dcc81ee_SiteId">
    <vt:lpwstr>34cd94b5-d86c-447f-8d9b-81b4ff94d329</vt:lpwstr>
  </property>
  <property fmtid="{D5CDD505-2E9C-101B-9397-08002B2CF9AE}" pid="7" name="MSIP_Label_a4e47c19-e68f-4046-bf94-918d2dcc81ee_ActionId">
    <vt:lpwstr>4c290da6-95ca-44b1-8465-cd0a902274e7</vt:lpwstr>
  </property>
  <property fmtid="{D5CDD505-2E9C-101B-9397-08002B2CF9AE}" pid="8" name="MSIP_Label_a4e47c19-e68f-4046-bf94-918d2dcc81ee_ContentBits">
    <vt:lpwstr>0</vt:lpwstr>
  </property>
</Properties>
</file>